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 activeTab="3"/>
  </bookViews>
  <sheets>
    <sheet name="合计" sheetId="4" r:id="rId1"/>
    <sheet name="5号楼" sheetId="2" r:id="rId2"/>
    <sheet name="6号楼" sheetId="3" r:id="rId3"/>
    <sheet name="8号楼" sheetId="1" r:id="rId4"/>
  </sheets>
  <definedNames>
    <definedName name="_xlnm._FilterDatabase" localSheetId="1" hidden="1">'5号楼'!$A$5:$V$14</definedName>
    <definedName name="_xlnm.Print_Area" localSheetId="2">'6号楼'!$A$1:$T$17</definedName>
    <definedName name="_xlnm.Print_Titles" localSheetId="2">'6号楼'!$1:$4</definedName>
    <definedName name="_xlnm.Print_Area" localSheetId="1">'5号楼'!$A$1:$T$14</definedName>
    <definedName name="_xlnm.Print_Titles" localSheetId="1">'5号楼'!$1:$4</definedName>
    <definedName name="_xlnm.Print_Titles" localSheetId="3">'8号楼'!$1:$4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<sst xmlns="http://schemas.openxmlformats.org/spreadsheetml/2006/main" count="207" uniqueCount="90">
  <si>
    <r>
      <rPr>
        <sz val="16"/>
        <rFont val="宋体"/>
        <charset val="134"/>
      </rPr>
      <t>雍江悦庭5、6、8号楼外立面整改项目审核明细对比表</t>
    </r>
    <r>
      <rPr>
        <sz val="11"/>
        <rFont val="宋体"/>
        <charset val="134"/>
      </rPr>
      <t xml:space="preserve">
                                                     单位：元</t>
    </r>
  </si>
  <si>
    <t>序号</t>
  </si>
  <si>
    <t>名称</t>
  </si>
  <si>
    <t>不含税金额</t>
  </si>
  <si>
    <t>安全文明施工费(含税)3.34%</t>
  </si>
  <si>
    <t>含税金额</t>
  </si>
  <si>
    <t>税金9%</t>
  </si>
  <si>
    <t>报审金额</t>
  </si>
  <si>
    <t>审核金额</t>
  </si>
  <si>
    <t>5号楼外立面装饰工程</t>
  </si>
  <si>
    <t>6号楼外立面装饰工程</t>
  </si>
  <si>
    <t>8号楼外立面装饰工程</t>
  </si>
  <si>
    <t>合计</t>
  </si>
  <si>
    <r>
      <rPr>
        <sz val="11"/>
        <rFont val="宋体"/>
        <charset val="134"/>
      </rPr>
      <t>备注：
1. 本项目施工地点位于渝中区化龙桥瑞天路138号</t>
    </r>
    <r>
      <rPr>
        <sz val="11"/>
        <rFont val="Times New Roman"/>
        <charset val="134"/>
      </rPr>
      <t>‌</t>
    </r>
    <r>
      <rPr>
        <sz val="11"/>
        <rFont val="宋体"/>
        <charset val="134"/>
      </rPr>
      <t>雍江悦庭小区5、6、8号楼。
2. 本项目为全费用综合单价，包含完成本项工作所需的人工费、材料费、机械费及所需的设备或安装调试费、材料运输费、措施费及各种应纳的税费等全部费用。
3. 安全文明施工费根据重庆市住房和城乡建设委员会关于修订发布《重庆市建设工程安全文明施工费计取及使用管理规定》的通知中房屋建筑修缮工程类别，按照税前合计乘以3.34%计算。
4. 本项目位置处于小区内部，价格中已考虑300米以内的人工转运费用。
5. 本项目为外立面改造，措施项目结合蜘蛛人吊绳或吊篮综合考虑，由于楼栋中已有住户，吊篮停放不得影响住户生活安全，若使用吊篮需征得委托方书面同意。</t>
    </r>
  </si>
  <si>
    <t>雍江悦庭5号楼外立面整改项目费用对比表</t>
  </si>
  <si>
    <t>施工地点：雍江悦庭5号楼</t>
  </si>
  <si>
    <t>项目名称</t>
  </si>
  <si>
    <t>施工内容</t>
  </si>
  <si>
    <t>单位</t>
  </si>
  <si>
    <t>报审工程量</t>
  </si>
  <si>
    <t>主材费</t>
  </si>
  <si>
    <t xml:space="preserve">人工费   </t>
  </si>
  <si>
    <t>辅材及机械费</t>
  </si>
  <si>
    <t>措施费</t>
  </si>
  <si>
    <t>企业管理费、利润、规费等C%</t>
  </si>
  <si>
    <t>增值税发票税额  D%</t>
  </si>
  <si>
    <t>报审含税综合单价</t>
  </si>
  <si>
    <t>报审合价</t>
  </si>
  <si>
    <t>审核工程量</t>
  </si>
  <si>
    <t>审核含税综合单价</t>
  </si>
  <si>
    <t>审核合价</t>
  </si>
  <si>
    <t>审核合价-报审合价</t>
  </si>
  <si>
    <t>备注</t>
  </si>
  <si>
    <t xml:space="preserve">主材单价   </t>
  </si>
  <si>
    <t>主材单位损耗率</t>
  </si>
  <si>
    <t>主材综合单价</t>
  </si>
  <si>
    <t>E=15%</t>
  </si>
  <si>
    <r>
      <t>D=</t>
    </r>
    <r>
      <rPr>
        <sz val="10"/>
        <rFont val="宋体"/>
        <charset val="134"/>
      </rPr>
      <t>9</t>
    </r>
    <r>
      <rPr>
        <u/>
        <sz val="10"/>
        <rFont val="宋体"/>
        <charset val="134"/>
      </rPr>
      <t>%</t>
    </r>
  </si>
  <si>
    <t>A</t>
  </si>
  <si>
    <t>a</t>
  </si>
  <si>
    <t>b</t>
  </si>
  <si>
    <t>c=a*(1+b)</t>
  </si>
  <si>
    <t>d</t>
  </si>
  <si>
    <t>e</t>
  </si>
  <si>
    <t>h=(c+d+e)*E%</t>
  </si>
  <si>
    <t>f=(c+d+e)*C%</t>
  </si>
  <si>
    <t>g=(c+d+e+f)*D%</t>
  </si>
  <si>
    <t>B=c+d+e+f+g</t>
  </si>
  <si>
    <t>C=A*B</t>
  </si>
  <si>
    <t>B</t>
  </si>
  <si>
    <t>报审</t>
  </si>
  <si>
    <t>审核</t>
  </si>
  <si>
    <t>拆除门厅前上装饰横面原有装饰石材</t>
  </si>
  <si>
    <t>[项目特征]
1.拆除的基层类型:综合考虑
2.饰面材料种类及厚度:装饰石材，米黄麻面 厚度3厘米
3.（前门厅10.7m*2.01m 后门厅3.56m*1.91m+10m*1.81m）
4.场内运距:综合考虑
[工作内容]
1.采用蜘蛛人吊绳或吊篮拆除
2.控制扬尘
3.清理
4.场内运输</t>
  </si>
  <si>
    <t>㎡</t>
  </si>
  <si>
    <t>建渣外运</t>
  </si>
  <si>
    <t>[项目特征]
1.运输距离:项目内人工转运300米后，建渣装车转运至渣场，运距综合考虑
[工作内容]
1.运输
2.弃渣包含渣场费</t>
  </si>
  <si>
    <t>m³</t>
  </si>
  <si>
    <t>新安装原有石材色（相近颜色）铝单板</t>
  </si>
  <si>
    <t>[项目特征]
1.龙骨材料热镀锌角钢、规格50mm*50mm*3mm、中距:骨架间隔600*600
2.嵌缝材料种类:黑色耐候结构胶
3.面层材料品种6063、规格长度：门厅前：2600+3550+3350+1000共10.5米，高度：横截面弓字型、300+400+30+50+30+600+600；门厅后1:15600+800+1200共17.6米，高度：横截面弓字型、300+400+30+50+30+600+500；门厅后2:10000共10米，高度：横截面弓字型、300+400+30+50+30+600+400、颜色:原有石材色（相近颜色）铝单板2.5mm厚
4.位置：门厅前：2600+3550+3350+1000共10.5米，门厅后1:15600+800+1200共17.6米；门厅后2:10000共10米
5.其他:满足设计、规范、验收的所有要求
[工作内容]
1.采用蜘蛛人吊绳或吊篮基层清理
2.材料、骨架制作、运输、安装，包含项目内人工转运300米
3.采用蜘蛛人吊绳或吊篮钉隔离层
4.采用蜘蛛人吊绳或吊篮基层铺钉
5.采用蜘蛛人吊绳或吊篮面层铺贴</t>
  </si>
  <si>
    <t>安装雨水板</t>
  </si>
  <si>
    <t>[项目特征]
1.铝单板雨沿固定方式:燕尾螺丝+黑色耐候结构胶
2.铝单板材料品种6063 、规格：长度：6米，高度：横截面C字型（300+100+300）*31块:2.5mm铝单板
3.嵌缝材料种类:黑色耐候结构胶
4.其他:满足设计、规范、验收的所有要求
[工作内容]
1.采用蜘蛛人吊绳或吊篮基层清理
2.材料、骨架制作、运输、安装，包含项目内人工转运300米
3.采用蜘蛛人吊绳或吊篮钉隔离层
4.采用蜘蛛人吊绳或吊篮基层铺钉
5.采用蜘蛛人吊绳或吊篮面层铺贴</t>
  </si>
  <si>
    <t>金属构件残值回收</t>
  </si>
  <si>
    <t>[项目特征]
1.构件名称:投标人自行处理废旧钢铁
2.构件类型种类:综合考虑
3.场内运距:综合考虑
4.其他:满足设计、规范、验收的要求
[工作内容]
1.收集
2.回收
3.清理
4.场内运输</t>
  </si>
  <si>
    <t>t</t>
  </si>
  <si>
    <t>安全文明施工费（包含用棉絮和模板垫层对地面、墙面、门窗等室内已有装修进行保护）</t>
  </si>
  <si>
    <t>项</t>
  </si>
  <si>
    <t>税前合计</t>
  </si>
  <si>
    <t>其它</t>
  </si>
  <si>
    <t>含税总计</t>
  </si>
  <si>
    <t>雍江悦庭6号楼外立面整改项目费用对比表</t>
  </si>
  <si>
    <t>施工地点：雍江悦庭6号楼</t>
  </si>
  <si>
    <t>拆除前、后门厅上装饰横面原有装饰石材</t>
  </si>
  <si>
    <t>[项目特征]
1.拆除的基层类型:综合考虑
2.饰面材料种类及厚度:装饰石材，30mm米黄麻面 
3.位置：前门厅11.85m*2.01m 后门厅15.6m*2.01m
4.场内运距:综合考虑
[工作内容]
1.采用蜘蛛人吊绳或吊篮拆除
2.控制扬尘
3.清理
4.场内运输</t>
  </si>
  <si>
    <t>拆除真石漆墙面</t>
  </si>
  <si>
    <t>[项目特征]
1.拆除的基层类型:综合考虑
2.抹灰层、真石漆种类及厚度:综合考虑
3.场内运距:综合考虑
[工作内容]
1.采用蜘蛛人吊绳或吊篮拆除
2.控制扬尘
3.清理
4.场内运输</t>
  </si>
  <si>
    <t>[项目特征]
1.龙骨材料热镀锌角钢、规格50mm*50mm*3mm、中距:骨架间隔600*600
2.嵌缝材料种类:黑色耐候结构胶
3.面层材料品种6063、规格长度：门厅前：共11.85米，高度：横截面弓字型、300+400+30+50+30+600+600；门厅后:共15.6米，高度：横截面弓字型、300+400+30+50+30+600+600；
4.颜色:原有石材色（相近颜色）铝单板2.5mm厚
5.位置：6栋大堂前后、门厅。
6.其他:满足设计、规范、验收的所有要求
[工作内容]
1.采用蜘蛛人吊绳或吊篮基层清理
2.材料、骨架制作、运输、安装，包含项目内人工转运300米
3.采用蜘蛛人吊绳或吊篮钉隔离层
4.采用蜘蛛人吊绳或吊篮基层铺钉
5.采用蜘蛛人吊绳或吊篮面层铺贴</t>
  </si>
  <si>
    <t>门厅和背面</t>
  </si>
  <si>
    <t>[项目特征]
1.铝单板雨沿固定方式:燕尾螺丝+黑色耐候结构胶
2.铝单板材料品种6063 、规格：长度：6米，高度：横截面C字型（300+100+300）*33块:2.5mm铝单板
3.嵌缝材料种类:黑色耐候结构胶
4.其他:满足设计、规范、验收的所有要求
[工作内容]
1.采用蜘蛛人吊绳或吊篮基层清理
2.材料、骨架制作、运输、安装，包含项目内人工转运300米
3.采用蜘蛛人吊绳或吊篮钉隔离层
4.采用蜘蛛人吊绳或吊篮基层铺钉
5.采用蜘蛛人吊绳或吊篮面层铺贴</t>
  </si>
  <si>
    <t>每一层一块共31层</t>
  </si>
  <si>
    <t>外墙真石漆</t>
  </si>
  <si>
    <t>[项目特征]
1.基层类型:综合考虑
2.喷刷涂料部位:外墙面
3.腻子种类:腻子两道
4.涂料品种、喷刷遍数:外墙真石漆
5.其他:满足设计、规范、验收所有要求
[工作内容]
1.采用蜘蛛人吊绳或吊篮基层清理
2.采用蜘蛛人吊绳或吊篮刮腻子
3.采用蜘蛛人吊绳或吊篮刷、喷涂料</t>
  </si>
  <si>
    <t>墙面2mm厚沥青防水涂料</t>
  </si>
  <si>
    <t>[项目特征]
1.防水膜品种:2mm厚沥青防水涂料
2.涂膜厚度、遍数:满足设计及规范要求
3.增强材料种类:满足设计及规范要求
4.其他:满足设计、规范、验收的所有要求
[工作内容]
1.基层处理
2.刷基层处理剂
3.铺布、喷涂防水层</t>
  </si>
  <si>
    <t>小计</t>
  </si>
  <si>
    <t>雍江悦庭8号楼外立面整改项目费用对比表</t>
  </si>
  <si>
    <t>施工地点：雍江悦庭8号楼</t>
  </si>
  <si>
    <t>拆除第三层第四层上装饰横面原有装饰石材</t>
  </si>
  <si>
    <t>[项目特征]
1.拆除的基层类型:综合考虑
2.饰面材料种类及厚度:装饰石材，米黄麻面 厚度3厘米
3.（第三层：24.24m*1.52m 第四层：29.72m*1.52m）
4.场内运距:综合考虑
[工作内容]
1.采用蜘蛛人吊绳或吊篮拆除
2.控制扬尘
3.清理
4.场内运输</t>
  </si>
  <si>
    <t>[项目特征]
1.龙骨材料热镀锌角钢、规格50mm*50mm*3mm、中距:骨架间隔600*600
2.嵌缝材料种类:黑色耐候结构胶
3.面层材料品种6063、规格长度：第三层：：共24.24米，高度：横截面弓字型、300+300+30+50+30+500+300；第四层：共29.72米，高度：横截面弓字型、300+300+30+50+30+500+300；颜色:原有石材色（相近颜色）铝单板2.5mm厚
4.位置：8栋第三层第四层。
5.其他:满足设计、规范、验收的所有要求
[工作内容]
1.采用蜘蛛人吊绳或吊篮基层清理
2.材料、骨架制作、运输、安装，包含项目内人工转运300米
3.采用蜘蛛人吊绳或吊篮钉隔离层
4.采用蜘蛛人吊绳或吊篮基层铺钉
5.采用蜘蛛人吊绳或吊篮面层铺贴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</si>
</sst>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yyyy&quot;年&quot;m&quot;月&quot;d&quot;日&quot;;@"/>
    <numFmt numFmtId="177" formatCode="0.00_ "/>
    <numFmt numFmtId="178" formatCode="0.00&quot; &quot;"/>
    <numFmt numFmtId="179" formatCode="#,##0.00_ "/>
  </numFmts>
  <fonts count="34">
    <font>
      <sz val="11"/>
      <name val="宋体"/>
      <charset val="134"/>
    </font>
    <font>
      <b/>
      <sz val="26"/>
      <name val="宋体"/>
      <charset val="134"/>
    </font>
    <font>
      <b/>
      <sz val="10"/>
      <name val="宋体"/>
      <charset val="134"/>
    </font>
    <font>
      <sz val="11"/>
      <name val="SimSun"/>
      <charset val="134"/>
    </font>
    <font>
      <sz val="16"/>
      <name val="宋体"/>
      <charset val="134"/>
    </font>
    <font>
      <u/>
      <sz val="10"/>
      <name val="宋体"/>
      <charset val="134"/>
    </font>
    <font>
      <sz val="10"/>
      <name val="宋体"/>
      <charset val="134"/>
    </font>
    <font>
      <sz val="11"/>
      <name val="Helvetica Neue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6"/>
      <color indexed="8"/>
      <name val="宋体"/>
      <charset val="134"/>
    </font>
    <font>
      <sz val="11"/>
      <color rgb="FF000000"/>
      <name val="Helvetica Neue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  <font>
      <sz val="12"/>
      <name val="宋体"/>
      <charset val="134"/>
    </font>
    <font>
      <sz val="1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1" fillId="0" borderId="0">
      <alignment vertical="top"/>
      <protection locked="0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24" fillId="7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176" fontId="32" fillId="0" borderId="0">
      <protection locked="0"/>
    </xf>
  </cellStyleXfs>
  <cellXfs count="8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NumberFormat="1" applyFont="1">
      <alignment vertical="center"/>
    </xf>
    <xf numFmtId="0" fontId="0" fillId="0" borderId="0" xfId="0" applyNumberFormat="1" applyFont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9" fontId="2" fillId="0" borderId="2" xfId="49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 wrapText="1"/>
    </xf>
    <xf numFmtId="0" fontId="4" fillId="0" borderId="0" xfId="0" applyNumberFormat="1" applyFont="1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left" vertical="center" wrapText="1"/>
    </xf>
    <xf numFmtId="176" fontId="2" fillId="0" borderId="3" xfId="49" applyNumberFormat="1" applyFont="1" applyFill="1" applyBorder="1" applyAlignment="1" applyProtection="1">
      <alignment horizontal="center" vertical="center" wrapText="1"/>
    </xf>
    <xf numFmtId="9" fontId="5" fillId="0" borderId="2" xfId="3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 applyProtection="1">
      <alignment horizontal="center" vertical="center" wrapText="1"/>
    </xf>
    <xf numFmtId="179" fontId="6" fillId="0" borderId="2" xfId="49" applyNumberFormat="1" applyFont="1" applyFill="1" applyBorder="1" applyAlignment="1" applyProtection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0" fontId="7" fillId="0" borderId="0" xfId="3" applyNumberFormat="1" applyFont="1" applyAlignment="1">
      <alignment horizontal="center" vertical="center"/>
      <protection locked="0"/>
    </xf>
    <xf numFmtId="178" fontId="0" fillId="0" borderId="1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176" fontId="2" fillId="0" borderId="5" xfId="49" applyNumberFormat="1" applyFont="1" applyFill="1" applyBorder="1" applyAlignment="1" applyProtection="1">
      <alignment horizontal="center" vertical="center" wrapText="1"/>
    </xf>
    <xf numFmtId="9" fontId="2" fillId="0" borderId="5" xfId="49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179" fontId="6" fillId="0" borderId="5" xfId="49" applyNumberFormat="1" applyFont="1" applyFill="1" applyBorder="1" applyAlignment="1" applyProtection="1">
      <alignment horizontal="center" vertical="center" wrapText="1"/>
    </xf>
    <xf numFmtId="179" fontId="6" fillId="0" borderId="5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 wrapText="1"/>
    </xf>
    <xf numFmtId="178" fontId="0" fillId="0" borderId="8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43" fontId="0" fillId="0" borderId="13" xfId="0" applyNumberFormat="1" applyFont="1" applyBorder="1">
      <alignment vertical="center"/>
    </xf>
    <xf numFmtId="43" fontId="0" fillId="0" borderId="13" xfId="0" applyNumberFormat="1" applyFont="1" applyBorder="1">
      <alignment vertical="center"/>
    </xf>
    <xf numFmtId="43" fontId="0" fillId="0" borderId="0" xfId="0" applyNumberFormat="1" applyFont="1">
      <alignment vertical="center"/>
    </xf>
    <xf numFmtId="0" fontId="8" fillId="0" borderId="0" xfId="0" applyNumberFormat="1" applyFont="1">
      <alignment vertical="center"/>
    </xf>
    <xf numFmtId="0" fontId="8" fillId="0" borderId="0" xfId="0" applyNumberFormat="1" applyFont="1" applyAlignment="1">
      <alignment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0" xfId="0" applyNumberFormat="1" applyFont="1" applyFill="1">
      <alignment vertical="center"/>
    </xf>
    <xf numFmtId="0" fontId="8" fillId="0" borderId="0" xfId="0" applyNumberFormat="1" applyFont="1" applyFill="1" applyAlignment="1">
      <alignment vertical="center" wrapText="1"/>
    </xf>
    <xf numFmtId="0" fontId="10" fillId="0" borderId="0" xfId="0" applyNumberFormat="1" applyFont="1">
      <alignment vertical="center"/>
    </xf>
    <xf numFmtId="178" fontId="9" fillId="0" borderId="1" xfId="0" applyNumberFormat="1" applyFont="1" applyFill="1" applyBorder="1" applyAlignment="1">
      <alignment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7" fontId="8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3" fontId="0" fillId="2" borderId="15" xfId="0" applyNumberFormat="1" applyFill="1" applyBorder="1" applyAlignment="1">
      <alignment horizontal="center" vertical="center"/>
    </xf>
    <xf numFmtId="43" fontId="0" fillId="2" borderId="7" xfId="0" applyNumberFormat="1" applyFill="1" applyBorder="1" applyAlignment="1">
      <alignment horizontal="center" vertical="center"/>
    </xf>
    <xf numFmtId="43" fontId="0" fillId="2" borderId="9" xfId="0" applyNumberFormat="1" applyFill="1" applyBorder="1" applyAlignment="1">
      <alignment horizontal="center" vertical="center"/>
    </xf>
    <xf numFmtId="43" fontId="0" fillId="3" borderId="15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3" fontId="0" fillId="2" borderId="2" xfId="0" applyNumberFormat="1" applyFill="1" applyBorder="1" applyAlignment="1">
      <alignment horizontal="center" vertical="center"/>
    </xf>
    <xf numFmtId="43" fontId="0" fillId="3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3" borderId="2" xfId="0" applyFill="1" applyBorder="1" applyAlignment="1">
      <alignment horizontal="center" vertical="center" wrapText="1"/>
    </xf>
    <xf numFmtId="43" fontId="0" fillId="3" borderId="7" xfId="0" applyNumberFormat="1" applyFill="1" applyBorder="1" applyAlignment="1">
      <alignment horizontal="center" vertical="center"/>
    </xf>
    <xf numFmtId="43" fontId="0" fillId="3" borderId="9" xfId="0" applyNumberFormat="1" applyFill="1" applyBorder="1" applyAlignment="1">
      <alignment horizontal="center" vertical="center"/>
    </xf>
    <xf numFmtId="177" fontId="0" fillId="0" borderId="0" xfId="0" applyNumberFormat="1">
      <alignment vertical="center"/>
    </xf>
    <xf numFmtId="10" fontId="11" fillId="0" borderId="0" xfId="3" applyNumberFormat="1">
      <alignment vertical="top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12"/>
  <sheetViews>
    <sheetView topLeftCell="B1" workbookViewId="0">
      <selection activeCell="N8" sqref="N8"/>
    </sheetView>
  </sheetViews>
  <sheetFormatPr defaultColWidth="8.73148148148148" defaultRowHeight="14.4"/>
  <cols>
    <col min="3" max="3" width="26.8611111111111" customWidth="1"/>
    <col min="4" max="4" width="12.7314814814815" customWidth="1"/>
    <col min="5" max="5" width="16.6388888888889" hidden="1" customWidth="1"/>
    <col min="6" max="6" width="14.5" customWidth="1"/>
    <col min="7" max="7" width="12.9537037037037"/>
    <col min="8" max="8" width="13.2314814814815" customWidth="1"/>
    <col min="9" max="9" width="17.7314814814815" hidden="1" customWidth="1"/>
    <col min="10" max="10" width="14.0925925925926"/>
    <col min="11" max="11" width="13.5462962962963" customWidth="1"/>
    <col min="14" max="14" width="16.3148148148148"/>
  </cols>
  <sheetData>
    <row r="1" ht="50" customHeight="1" spans="2:11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</row>
    <row r="2" spans="2:11">
      <c r="B2" s="69" t="s">
        <v>1</v>
      </c>
      <c r="C2" s="69" t="s">
        <v>2</v>
      </c>
      <c r="D2" s="70" t="s">
        <v>3</v>
      </c>
      <c r="E2" s="71" t="s">
        <v>4</v>
      </c>
      <c r="F2" s="70" t="s">
        <v>5</v>
      </c>
      <c r="G2" s="70" t="s">
        <v>6</v>
      </c>
      <c r="H2" s="72" t="s">
        <v>3</v>
      </c>
      <c r="I2" s="83" t="s">
        <v>4</v>
      </c>
      <c r="J2" s="72" t="s">
        <v>5</v>
      </c>
      <c r="K2" s="72" t="s">
        <v>6</v>
      </c>
    </row>
    <row r="3" spans="2:11">
      <c r="B3" s="73"/>
      <c r="C3" s="73"/>
      <c r="D3" s="70"/>
      <c r="E3" s="71"/>
      <c r="F3" s="70"/>
      <c r="G3" s="70"/>
      <c r="H3" s="72"/>
      <c r="I3" s="83"/>
      <c r="J3" s="72"/>
      <c r="K3" s="72"/>
    </row>
    <row r="4" spans="2:11">
      <c r="B4" s="74"/>
      <c r="C4" s="74"/>
      <c r="D4" s="75" t="s">
        <v>7</v>
      </c>
      <c r="E4" s="76"/>
      <c r="F4" s="76"/>
      <c r="G4" s="77"/>
      <c r="H4" s="78" t="s">
        <v>8</v>
      </c>
      <c r="I4" s="84"/>
      <c r="J4" s="84"/>
      <c r="K4" s="85"/>
    </row>
    <row r="5" spans="2:14">
      <c r="B5" s="79">
        <v>1</v>
      </c>
      <c r="C5" s="79" t="s">
        <v>9</v>
      </c>
      <c r="D5" s="80">
        <f>F5/1.09</f>
        <v>150010.42246775</v>
      </c>
      <c r="E5" s="80">
        <f>'5号楼'!O12</f>
        <v>5284.76818304712</v>
      </c>
      <c r="F5" s="80">
        <f>'5号楼'!O14</f>
        <v>163511.360489847</v>
      </c>
      <c r="G5" s="80">
        <f>F5/1.09*0.09</f>
        <v>13500.9380220975</v>
      </c>
      <c r="H5" s="81">
        <f>J5/1.09</f>
        <v>113376.176146789</v>
      </c>
      <c r="I5" s="81"/>
      <c r="J5" s="81">
        <f>'5号楼'!R14</f>
        <v>123580.032</v>
      </c>
      <c r="K5" s="81">
        <f t="shared" ref="K5:K7" si="0">J5/1.09*0.09</f>
        <v>10203.855853211</v>
      </c>
      <c r="N5" s="86"/>
    </row>
    <row r="6" spans="2:14">
      <c r="B6" s="79">
        <v>2</v>
      </c>
      <c r="C6" s="79" t="s">
        <v>10</v>
      </c>
      <c r="D6" s="80">
        <f>F6/1.09</f>
        <v>182331.871441668</v>
      </c>
      <c r="E6" s="80">
        <f>'6号楼'!O15</f>
        <v>6423.43149961812</v>
      </c>
      <c r="F6" s="80">
        <f>'6号楼'!O17</f>
        <v>198741.739871418</v>
      </c>
      <c r="G6" s="80">
        <f>F6/1.09*0.09</f>
        <v>16409.8684297501</v>
      </c>
      <c r="H6" s="81">
        <f>J6/1.09</f>
        <v>117556.901834862</v>
      </c>
      <c r="I6" s="81"/>
      <c r="J6" s="81">
        <f>'6号楼'!R17</f>
        <v>128137.023</v>
      </c>
      <c r="K6" s="81">
        <f t="shared" si="0"/>
        <v>10580.1211651376</v>
      </c>
      <c r="N6" s="87"/>
    </row>
    <row r="7" spans="2:11">
      <c r="B7" s="79">
        <v>3</v>
      </c>
      <c r="C7" s="79" t="s">
        <v>11</v>
      </c>
      <c r="D7" s="80">
        <f>F7/1.09</f>
        <v>75009.010874832</v>
      </c>
      <c r="E7" s="80">
        <f>'8号楼'!O10</f>
        <v>2642.51795036688</v>
      </c>
      <c r="F7" s="80">
        <f>'8号楼'!O11</f>
        <v>81759.8218535669</v>
      </c>
      <c r="G7" s="80">
        <f>F7/1.09*0.09</f>
        <v>6750.81097873488</v>
      </c>
      <c r="H7" s="81">
        <f>J7/1.09</f>
        <v>53389.3394495413</v>
      </c>
      <c r="I7" s="81"/>
      <c r="J7" s="81">
        <f>'8号楼'!R11</f>
        <v>58194.38</v>
      </c>
      <c r="K7" s="81">
        <f t="shared" si="0"/>
        <v>4805.04055045872</v>
      </c>
    </row>
    <row r="8" spans="2:11">
      <c r="B8" s="79" t="s">
        <v>12</v>
      </c>
      <c r="C8" s="79"/>
      <c r="D8" s="80">
        <f t="shared" ref="D8:K8" si="1">SUM(D5:D7)</f>
        <v>407351.30478425</v>
      </c>
      <c r="E8" s="80">
        <f t="shared" si="1"/>
        <v>14350.7176330321</v>
      </c>
      <c r="F8" s="80">
        <f t="shared" si="1"/>
        <v>444012.922214832</v>
      </c>
      <c r="G8" s="80">
        <f t="shared" si="1"/>
        <v>36661.6174305825</v>
      </c>
      <c r="H8" s="81">
        <f t="shared" si="1"/>
        <v>284322.417431193</v>
      </c>
      <c r="I8" s="81"/>
      <c r="J8" s="81">
        <f t="shared" si="1"/>
        <v>309911.435</v>
      </c>
      <c r="K8" s="81">
        <f t="shared" si="1"/>
        <v>25589.0175688073</v>
      </c>
    </row>
    <row r="9" ht="42" customHeight="1" spans="2:11">
      <c r="B9" s="82" t="s">
        <v>13</v>
      </c>
      <c r="C9" s="82"/>
      <c r="D9" s="82"/>
      <c r="E9" s="82"/>
      <c r="F9" s="82"/>
      <c r="G9" s="82"/>
      <c r="H9" s="82"/>
      <c r="I9" s="82"/>
      <c r="J9" s="82"/>
      <c r="K9" s="82"/>
    </row>
    <row r="10" ht="42" customHeight="1" spans="2:11"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ht="42" customHeight="1" spans="2:11"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ht="42" customHeight="1" spans="2:11">
      <c r="B12" s="82"/>
      <c r="C12" s="82"/>
      <c r="D12" s="82"/>
      <c r="E12" s="82"/>
      <c r="F12" s="82"/>
      <c r="G12" s="82"/>
      <c r="H12" s="82"/>
      <c r="I12" s="82"/>
      <c r="J12" s="82"/>
      <c r="K12" s="82"/>
    </row>
  </sheetData>
  <mergeCells count="14">
    <mergeCell ref="B1:K1"/>
    <mergeCell ref="D4:G4"/>
    <mergeCell ref="H4:K4"/>
    <mergeCell ref="B2:B4"/>
    <mergeCell ref="C2:C4"/>
    <mergeCell ref="D2:D3"/>
    <mergeCell ref="E2:E3"/>
    <mergeCell ref="F2:F3"/>
    <mergeCell ref="G2:G3"/>
    <mergeCell ref="H2:H3"/>
    <mergeCell ref="I2:I3"/>
    <mergeCell ref="J2:J3"/>
    <mergeCell ref="K2:K3"/>
    <mergeCell ref="B9:K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showGridLines="0" zoomScale="70" zoomScaleNormal="70" topLeftCell="A9" workbookViewId="0">
      <selection activeCell="Y4" sqref="Y4"/>
    </sheetView>
  </sheetViews>
  <sheetFormatPr defaultColWidth="9" defaultRowHeight="13.5" customHeight="1"/>
  <cols>
    <col min="1" max="1" width="4.62962962962963" style="57" customWidth="1"/>
    <col min="2" max="2" width="20.0462962962963" style="58" customWidth="1"/>
    <col min="3" max="3" width="44.0925925925926" style="57" customWidth="1"/>
    <col min="4" max="4" width="5.75" style="57" customWidth="1"/>
    <col min="5" max="5" width="9.25" style="57" customWidth="1"/>
    <col min="6" max="6" width="12.2685185185185" style="57" hidden="1" customWidth="1"/>
    <col min="7" max="7" width="11.2314814814815" style="57" hidden="1" customWidth="1"/>
    <col min="8" max="9" width="9.62962962962963" style="57" hidden="1" customWidth="1"/>
    <col min="10" max="11" width="9.9537037037037" style="57" hidden="1" customWidth="1"/>
    <col min="12" max="13" width="16.25" style="57" hidden="1" customWidth="1"/>
    <col min="14" max="14" width="14.2314814814815" style="57" customWidth="1"/>
    <col min="15" max="19" width="11.8703703703704" style="57" customWidth="1"/>
    <col min="20" max="20" width="5.71296296296296" style="57" customWidth="1"/>
    <col min="21" max="264" width="8.87037037037037" style="57" customWidth="1"/>
  </cols>
  <sheetData>
    <row r="1" ht="42" customHeight="1" spans="1:20">
      <c r="A1" s="4" t="s">
        <v>14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8"/>
      <c r="O1" s="28"/>
      <c r="P1" s="28"/>
      <c r="Q1" s="28"/>
      <c r="R1" s="28"/>
      <c r="S1" s="28"/>
      <c r="T1" s="5"/>
    </row>
    <row r="2" ht="26.1" customHeight="1" spans="1:20">
      <c r="A2" s="6" t="s">
        <v>15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9"/>
      <c r="O2" s="29"/>
      <c r="P2" s="29"/>
      <c r="Q2" s="29"/>
      <c r="R2" s="29"/>
      <c r="S2" s="29"/>
      <c r="T2" s="7"/>
    </row>
    <row r="3" ht="43" customHeight="1" spans="1:20">
      <c r="A3" s="8" t="s">
        <v>1</v>
      </c>
      <c r="B3" s="9" t="s">
        <v>16</v>
      </c>
      <c r="C3" s="8" t="s">
        <v>17</v>
      </c>
      <c r="D3" s="8" t="s">
        <v>18</v>
      </c>
      <c r="E3" s="9" t="s">
        <v>19</v>
      </c>
      <c r="F3" s="10" t="s">
        <v>20</v>
      </c>
      <c r="G3" s="10"/>
      <c r="H3" s="10"/>
      <c r="I3" s="10" t="s">
        <v>21</v>
      </c>
      <c r="J3" s="10" t="s">
        <v>22</v>
      </c>
      <c r="K3" s="10" t="s">
        <v>23</v>
      </c>
      <c r="L3" s="30" t="s">
        <v>24</v>
      </c>
      <c r="M3" s="30" t="s">
        <v>25</v>
      </c>
      <c r="N3" s="9" t="s">
        <v>26</v>
      </c>
      <c r="O3" s="9" t="s">
        <v>27</v>
      </c>
      <c r="P3" s="8" t="s">
        <v>28</v>
      </c>
      <c r="Q3" s="9" t="s">
        <v>29</v>
      </c>
      <c r="R3" s="9" t="s">
        <v>30</v>
      </c>
      <c r="S3" s="9" t="s">
        <v>31</v>
      </c>
      <c r="T3" s="9" t="s">
        <v>32</v>
      </c>
    </row>
    <row r="4" ht="33" customHeight="1" spans="1:20">
      <c r="A4" s="8"/>
      <c r="B4" s="9"/>
      <c r="C4" s="8"/>
      <c r="D4" s="8"/>
      <c r="E4" s="11"/>
      <c r="F4" s="10" t="s">
        <v>33</v>
      </c>
      <c r="G4" s="12" t="s">
        <v>34</v>
      </c>
      <c r="H4" s="10" t="s">
        <v>35</v>
      </c>
      <c r="I4" s="10"/>
      <c r="J4" s="10"/>
      <c r="K4" s="31" t="s">
        <v>36</v>
      </c>
      <c r="L4" s="31">
        <v>0.2</v>
      </c>
      <c r="M4" s="31" t="s">
        <v>37</v>
      </c>
      <c r="N4" s="9"/>
      <c r="O4" s="32"/>
      <c r="P4" s="13"/>
      <c r="Q4" s="9"/>
      <c r="R4" s="32"/>
      <c r="S4" s="32"/>
      <c r="T4" s="11"/>
    </row>
    <row r="5" ht="33" hidden="1" customHeight="1" spans="1:20">
      <c r="A5" s="8"/>
      <c r="B5" s="9"/>
      <c r="C5" s="8"/>
      <c r="D5" s="8"/>
      <c r="E5" s="38" t="s">
        <v>38</v>
      </c>
      <c r="F5" s="39" t="s">
        <v>39</v>
      </c>
      <c r="G5" s="40" t="s">
        <v>40</v>
      </c>
      <c r="H5" s="39" t="s">
        <v>41</v>
      </c>
      <c r="I5" s="39" t="s">
        <v>42</v>
      </c>
      <c r="J5" s="39" t="s">
        <v>43</v>
      </c>
      <c r="K5" s="39" t="s">
        <v>44</v>
      </c>
      <c r="L5" s="46" t="s">
        <v>45</v>
      </c>
      <c r="M5" s="46" t="s">
        <v>46</v>
      </c>
      <c r="N5" s="47" t="s">
        <v>47</v>
      </c>
      <c r="O5" s="47" t="s">
        <v>48</v>
      </c>
      <c r="P5" s="38" t="s">
        <v>38</v>
      </c>
      <c r="Q5" s="47" t="s">
        <v>49</v>
      </c>
      <c r="R5" s="47" t="s">
        <v>48</v>
      </c>
      <c r="S5" s="47"/>
      <c r="T5" s="11"/>
    </row>
    <row r="6" ht="33" hidden="1" customHeight="1" spans="1:20">
      <c r="A6" s="8"/>
      <c r="B6" s="9"/>
      <c r="C6" s="8"/>
      <c r="D6" s="8"/>
      <c r="E6" s="41" t="s">
        <v>50</v>
      </c>
      <c r="F6" s="42"/>
      <c r="G6" s="42"/>
      <c r="H6" s="42"/>
      <c r="I6" s="42"/>
      <c r="J6" s="42"/>
      <c r="K6" s="42"/>
      <c r="L6" s="42"/>
      <c r="M6" s="42"/>
      <c r="N6" s="42"/>
      <c r="O6" s="48"/>
      <c r="P6" s="42" t="s">
        <v>51</v>
      </c>
      <c r="Q6" s="42"/>
      <c r="R6" s="48"/>
      <c r="S6" s="48"/>
      <c r="T6" s="11"/>
    </row>
    <row r="7" ht="166" customHeight="1" spans="1:20">
      <c r="A7" s="14">
        <v>1</v>
      </c>
      <c r="B7" s="15" t="s">
        <v>52</v>
      </c>
      <c r="C7" s="6" t="s">
        <v>53</v>
      </c>
      <c r="D7" s="16" t="s">
        <v>54</v>
      </c>
      <c r="E7" s="43">
        <v>72.82</v>
      </c>
      <c r="F7" s="44"/>
      <c r="G7" s="59"/>
      <c r="H7" s="44">
        <f>F7*(1+G7)</f>
        <v>0</v>
      </c>
      <c r="I7" s="44">
        <v>58</v>
      </c>
      <c r="J7" s="44">
        <v>30</v>
      </c>
      <c r="K7" s="44">
        <f>(H7+I7+J7)*15%</f>
        <v>13.2</v>
      </c>
      <c r="L7" s="50">
        <f>(H7+I7+J7+K7)*0.2</f>
        <v>20.24</v>
      </c>
      <c r="M7" s="50">
        <f>(H7+I7+J7+L7+K7)*0.09</f>
        <v>10.9296</v>
      </c>
      <c r="N7" s="51">
        <f>H7+I7+J7+L7+M7</f>
        <v>119.1696</v>
      </c>
      <c r="O7" s="51">
        <f>E7*N7</f>
        <v>8677.930272</v>
      </c>
      <c r="P7" s="51">
        <f>E7</f>
        <v>72.82</v>
      </c>
      <c r="Q7" s="51">
        <f>'6号楼'!Q7</f>
        <v>107.6</v>
      </c>
      <c r="R7" s="32">
        <f>P7*Q7</f>
        <v>7835.432</v>
      </c>
      <c r="S7" s="32">
        <f>R7-O7</f>
        <v>-842.498272000001</v>
      </c>
      <c r="T7" s="11"/>
    </row>
    <row r="8" customFormat="1" ht="99" customHeight="1" spans="1:20">
      <c r="A8" s="14">
        <v>2</v>
      </c>
      <c r="B8" s="17" t="s">
        <v>55</v>
      </c>
      <c r="C8" s="18" t="s">
        <v>56</v>
      </c>
      <c r="D8" s="16" t="s">
        <v>57</v>
      </c>
      <c r="E8" s="19">
        <v>2</v>
      </c>
      <c r="F8" s="11"/>
      <c r="G8" s="11"/>
      <c r="H8" s="11">
        <f>F8*(1+G8)</f>
        <v>0</v>
      </c>
      <c r="I8" s="11">
        <v>700</v>
      </c>
      <c r="J8" s="11">
        <v>500</v>
      </c>
      <c r="K8" s="11">
        <f>(H8+I8+J8)*15%</f>
        <v>180</v>
      </c>
      <c r="L8" s="19">
        <f>(H8+I8+J8+K8)*0.2</f>
        <v>276</v>
      </c>
      <c r="M8" s="19">
        <f>(H8+I8+J8+L8+K8)*0.09</f>
        <v>149.04</v>
      </c>
      <c r="N8" s="32">
        <f>H8+I8+J8+L8+M8</f>
        <v>1625.04</v>
      </c>
      <c r="O8" s="32">
        <f>E8*N8</f>
        <v>3250.08</v>
      </c>
      <c r="P8" s="51">
        <f>E8</f>
        <v>2</v>
      </c>
      <c r="Q8" s="32">
        <f>'6号楼'!Q9</f>
        <v>166.45</v>
      </c>
      <c r="R8" s="32">
        <f>P8*Q8</f>
        <v>332.9</v>
      </c>
      <c r="S8" s="32">
        <f>R8-O8</f>
        <v>-2917.18</v>
      </c>
      <c r="T8" s="32"/>
    </row>
    <row r="9" ht="331.2" spans="1:22">
      <c r="A9" s="14">
        <v>3</v>
      </c>
      <c r="B9" s="15" t="s">
        <v>58</v>
      </c>
      <c r="C9" s="6" t="s">
        <v>59</v>
      </c>
      <c r="D9" s="16" t="s">
        <v>54</v>
      </c>
      <c r="E9" s="15">
        <f>E7</f>
        <v>72.82</v>
      </c>
      <c r="F9" s="11">
        <v>297</v>
      </c>
      <c r="G9" s="45">
        <v>0.1</v>
      </c>
      <c r="H9" s="11">
        <f>F9*(1+G9)</f>
        <v>326.7</v>
      </c>
      <c r="I9" s="11">
        <v>160</v>
      </c>
      <c r="J9" s="11">
        <v>48</v>
      </c>
      <c r="K9" s="11">
        <f>(H9+I9+J9)*15%</f>
        <v>80.205</v>
      </c>
      <c r="L9" s="19">
        <f>(H9+I9+J9+K9)*0.2</f>
        <v>122.981</v>
      </c>
      <c r="M9" s="19">
        <f>(H9+I9+J9+L9+K9)*0.09</f>
        <v>66.40974</v>
      </c>
      <c r="N9" s="32">
        <f>H9+I9+J9+L9+M9</f>
        <v>724.09074</v>
      </c>
      <c r="O9" s="32">
        <f>E9*N9</f>
        <v>52728.2876868</v>
      </c>
      <c r="P9" s="51">
        <f>E9</f>
        <v>72.82</v>
      </c>
      <c r="Q9" s="32">
        <f>'6号楼'!Q10</f>
        <v>612.5</v>
      </c>
      <c r="R9" s="32">
        <f>P9*Q9</f>
        <v>44602.25</v>
      </c>
      <c r="S9" s="32">
        <f t="shared" ref="S9:S14" si="0">R9-O9</f>
        <v>-8126.03768680001</v>
      </c>
      <c r="T9" s="11"/>
      <c r="V9" s="67"/>
    </row>
    <row r="10" ht="216" spans="1:20">
      <c r="A10" s="14">
        <v>4</v>
      </c>
      <c r="B10" s="15" t="s">
        <v>60</v>
      </c>
      <c r="C10" s="6" t="s">
        <v>61</v>
      </c>
      <c r="D10" s="16" t="s">
        <v>54</v>
      </c>
      <c r="E10" s="15">
        <v>130.2</v>
      </c>
      <c r="F10" s="11">
        <v>297</v>
      </c>
      <c r="G10" s="45">
        <v>0.1</v>
      </c>
      <c r="H10" s="11">
        <f>F10*(1+G10)</f>
        <v>326.7</v>
      </c>
      <c r="I10" s="11">
        <v>160</v>
      </c>
      <c r="J10" s="11">
        <v>48</v>
      </c>
      <c r="K10" s="11">
        <f>(H10+I10+J10)*15%</f>
        <v>80.205</v>
      </c>
      <c r="L10" s="19">
        <f>(H10+I10+J10+K10)*0.2</f>
        <v>122.981</v>
      </c>
      <c r="M10" s="19">
        <f>(H10+I10+J10+L10+K10)*0.09</f>
        <v>66.40974</v>
      </c>
      <c r="N10" s="32">
        <f>H10+I10+J10+L10+M10</f>
        <v>724.09074</v>
      </c>
      <c r="O10" s="32">
        <f>E10*N10</f>
        <v>94276.614348</v>
      </c>
      <c r="P10" s="51">
        <f>E10</f>
        <v>130.2</v>
      </c>
      <c r="Q10" s="32">
        <f>'6号楼'!Q11</f>
        <v>550.09</v>
      </c>
      <c r="R10" s="32">
        <f>P10*Q10</f>
        <v>71621.718</v>
      </c>
      <c r="S10" s="32">
        <f t="shared" si="0"/>
        <v>-22654.896348</v>
      </c>
      <c r="T10" s="11"/>
    </row>
    <row r="11" ht="151" customHeight="1" spans="1:20">
      <c r="A11" s="14">
        <v>5</v>
      </c>
      <c r="B11" s="17" t="s">
        <v>62</v>
      </c>
      <c r="C11" s="18" t="s">
        <v>63</v>
      </c>
      <c r="D11" s="16" t="s">
        <v>64</v>
      </c>
      <c r="E11" s="15">
        <v>0.3</v>
      </c>
      <c r="F11" s="11"/>
      <c r="G11" s="7"/>
      <c r="H11" s="11">
        <f>-1.8*1000</f>
        <v>-1800</v>
      </c>
      <c r="I11" s="11"/>
      <c r="J11" s="11"/>
      <c r="K11" s="11"/>
      <c r="L11" s="19">
        <f>(H11+I11+J11)*0.2</f>
        <v>-360</v>
      </c>
      <c r="M11" s="19">
        <f>(H11+I11+J11+L11)*0.09</f>
        <v>-194.4</v>
      </c>
      <c r="N11" s="32">
        <f>H11+I11+J11+L11+M11</f>
        <v>-2354.4</v>
      </c>
      <c r="O11" s="32">
        <f>E11*N11</f>
        <v>-706.32</v>
      </c>
      <c r="P11" s="51">
        <f>E11</f>
        <v>0.3</v>
      </c>
      <c r="Q11" s="32">
        <v>-2707.56</v>
      </c>
      <c r="R11" s="32">
        <f>P11*Q11</f>
        <v>-812.268</v>
      </c>
      <c r="S11" s="32">
        <f t="shared" si="0"/>
        <v>-105.948</v>
      </c>
      <c r="T11" s="11"/>
    </row>
    <row r="12" customFormat="1" ht="37" customHeight="1" spans="1:20">
      <c r="A12" s="14">
        <v>6</v>
      </c>
      <c r="B12" s="20" t="s">
        <v>65</v>
      </c>
      <c r="C12" s="21"/>
      <c r="D12" s="16" t="s">
        <v>66</v>
      </c>
      <c r="E12" s="15">
        <v>1</v>
      </c>
      <c r="F12" s="11"/>
      <c r="G12" s="11"/>
      <c r="H12" s="11"/>
      <c r="I12" s="11"/>
      <c r="J12" s="11" t="s">
        <v>67</v>
      </c>
      <c r="K12" s="11"/>
      <c r="L12" s="19">
        <f>SUM(O7:O11)/1.09</f>
        <v>145162.011290642</v>
      </c>
      <c r="M12" s="36">
        <v>0.0334</v>
      </c>
      <c r="N12" s="32">
        <f>(L12*M12)*0.09</f>
        <v>436.35700593967</v>
      </c>
      <c r="O12" s="32">
        <f>L12*M12+N12</f>
        <v>5284.76818304712</v>
      </c>
      <c r="P12" s="32"/>
      <c r="Q12" s="32"/>
      <c r="R12" s="32"/>
      <c r="S12" s="32">
        <f t="shared" si="0"/>
        <v>-5284.76818304712</v>
      </c>
      <c r="T12" s="32"/>
    </row>
    <row r="13" ht="23" customHeight="1" spans="1:20">
      <c r="A13" s="14">
        <v>7</v>
      </c>
      <c r="B13" s="22" t="s">
        <v>68</v>
      </c>
      <c r="C13" s="18"/>
      <c r="D13" s="16"/>
      <c r="E13" s="15"/>
      <c r="F13" s="11"/>
      <c r="G13" s="11"/>
      <c r="H13" s="11"/>
      <c r="I13" s="11"/>
      <c r="J13" s="11"/>
      <c r="K13" s="11"/>
      <c r="L13" s="19"/>
      <c r="M13" s="19"/>
      <c r="N13" s="32"/>
      <c r="O13" s="32"/>
      <c r="P13" s="32"/>
      <c r="Q13" s="32"/>
      <c r="R13" s="32"/>
      <c r="S13" s="32"/>
      <c r="T13" s="32"/>
    </row>
    <row r="14" ht="24" customHeight="1" spans="1:20">
      <c r="A14" s="14">
        <v>8</v>
      </c>
      <c r="B14" s="22" t="s">
        <v>69</v>
      </c>
      <c r="C14" s="18"/>
      <c r="D14" s="17"/>
      <c r="E14" s="15"/>
      <c r="F14" s="11"/>
      <c r="G14" s="11"/>
      <c r="H14" s="11"/>
      <c r="I14" s="11"/>
      <c r="J14" s="24"/>
      <c r="K14" s="24"/>
      <c r="L14" s="11"/>
      <c r="M14" s="24"/>
      <c r="N14" s="37"/>
      <c r="O14" s="32">
        <f>SUM(O7:O13)</f>
        <v>163511.360489847</v>
      </c>
      <c r="P14" s="32"/>
      <c r="Q14" s="32"/>
      <c r="R14" s="32">
        <f>SUM(R7:R13)</f>
        <v>123580.032</v>
      </c>
      <c r="S14" s="32">
        <f t="shared" si="0"/>
        <v>-39931.328489847</v>
      </c>
      <c r="T14" s="32"/>
    </row>
    <row r="15" ht="26.1" customHeight="1" spans="1:20">
      <c r="A15" s="60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5"/>
      <c r="O15" s="66"/>
      <c r="P15" s="66"/>
      <c r="Q15" s="66"/>
      <c r="R15" s="66"/>
      <c r="S15" s="66"/>
      <c r="T15" s="61"/>
    </row>
    <row r="16" ht="26.1" customHeight="1" spans="1:20">
      <c r="A16" s="62"/>
      <c r="B16" s="63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</row>
    <row r="17" ht="26.1" customHeight="1" spans="1:20">
      <c r="A17" s="62"/>
      <c r="B17" s="63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/>
      <c r="P17"/>
      <c r="Q17"/>
      <c r="R17"/>
      <c r="S17"/>
      <c r="T17" s="62"/>
    </row>
    <row r="18" customHeight="1" spans="1:20">
      <c r="A18" s="62"/>
      <c r="B18" s="63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</row>
    <row r="19" customHeight="1" spans="1:20">
      <c r="A19" s="62"/>
      <c r="B19" s="63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</row>
    <row r="21" customHeight="1" spans="3:3">
      <c r="C21" s="64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5:V14" etc:filterBottomFollowUsedRange="0">
    <extLst/>
  </autoFilter>
  <mergeCells count="23">
    <mergeCell ref="A1:T1"/>
    <mergeCell ref="A2:T2"/>
    <mergeCell ref="F3:H3"/>
    <mergeCell ref="E6:O6"/>
    <mergeCell ref="P6:R6"/>
    <mergeCell ref="B12:C12"/>
    <mergeCell ref="B13:C13"/>
    <mergeCell ref="B14:C14"/>
    <mergeCell ref="A15:N15"/>
    <mergeCell ref="A3:A5"/>
    <mergeCell ref="B3:B5"/>
    <mergeCell ref="C3:C5"/>
    <mergeCell ref="D3:D5"/>
    <mergeCell ref="E3:E4"/>
    <mergeCell ref="I3:I4"/>
    <mergeCell ref="J3:J4"/>
    <mergeCell ref="N3:N4"/>
    <mergeCell ref="O3:O4"/>
    <mergeCell ref="P3:P4"/>
    <mergeCell ref="Q3:Q4"/>
    <mergeCell ref="R3:R4"/>
    <mergeCell ref="S3:S4"/>
    <mergeCell ref="T3:T4"/>
  </mergeCells>
  <pageMargins left="0.629861111111111" right="0.236111111111111" top="0.747916666666667" bottom="0.393055555555556" header="0.511805555555556" footer="0.511805555555556"/>
  <pageSetup paperSize="9" scale="80" fitToWidth="0" fitToHeight="0" orientation="landscape" horizontalDpi="600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D24"/>
  <sheetViews>
    <sheetView zoomScale="70" zoomScaleNormal="70" workbookViewId="0">
      <pane xSplit="4" ySplit="5" topLeftCell="E15" activePane="bottomRight" state="frozen"/>
      <selection/>
      <selection pane="topRight"/>
      <selection pane="bottomLeft"/>
      <selection pane="bottomRight" activeCell="W7" sqref="W7"/>
    </sheetView>
  </sheetViews>
  <sheetFormatPr defaultColWidth="8.73148148148148" defaultRowHeight="14.4"/>
  <cols>
    <col min="1" max="1" width="4.62962962962963" style="1" customWidth="1"/>
    <col min="2" max="2" width="20.0462962962963" style="1" customWidth="1"/>
    <col min="3" max="3" width="44.0925925925926" style="1" customWidth="1"/>
    <col min="4" max="4" width="5.75" style="1" customWidth="1"/>
    <col min="5" max="5" width="9.25" style="1" customWidth="1"/>
    <col min="6" max="6" width="12.2685185185185" style="1" hidden="1" customWidth="1"/>
    <col min="7" max="7" width="11.2314814814815" style="1" hidden="1" customWidth="1"/>
    <col min="8" max="9" width="9.62962962962963" style="1" hidden="1" customWidth="1"/>
    <col min="10" max="11" width="9.9537037037037" style="1" hidden="1" customWidth="1"/>
    <col min="12" max="13" width="16.25" style="1" hidden="1" customWidth="1"/>
    <col min="14" max="14" width="14.2314814814815" style="1" customWidth="1"/>
    <col min="15" max="19" width="11.8703703703704" style="1" customWidth="1"/>
    <col min="20" max="20" width="6.49074074074074" style="1" customWidth="1"/>
    <col min="21" max="24" width="8.87037037037037" style="1" customWidth="1"/>
    <col min="25" max="25" width="15.3611111111111" style="1" customWidth="1"/>
    <col min="26" max="264" width="8.87037037037037" style="1" customWidth="1"/>
    <col min="265" max="16384" width="8.73148148148148" style="1"/>
  </cols>
  <sheetData>
    <row r="1" s="1" customFormat="1" ht="42" customHeight="1" spans="1:20">
      <c r="A1" s="4" t="s">
        <v>70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8"/>
      <c r="O1" s="28"/>
      <c r="P1" s="28"/>
      <c r="Q1" s="28"/>
      <c r="R1" s="28"/>
      <c r="S1" s="28"/>
      <c r="T1" s="5"/>
    </row>
    <row r="2" s="1" customFormat="1" ht="26.1" customHeight="1" spans="1:20">
      <c r="A2" s="6" t="s">
        <v>71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9"/>
      <c r="O2" s="29"/>
      <c r="P2" s="29"/>
      <c r="Q2" s="29"/>
      <c r="R2" s="29"/>
      <c r="S2" s="29"/>
      <c r="T2" s="7"/>
    </row>
    <row r="3" s="1" customFormat="1" ht="43" customHeight="1" spans="1:20">
      <c r="A3" s="8" t="s">
        <v>1</v>
      </c>
      <c r="B3" s="9" t="s">
        <v>16</v>
      </c>
      <c r="C3" s="8" t="s">
        <v>17</v>
      </c>
      <c r="D3" s="8" t="s">
        <v>18</v>
      </c>
      <c r="E3" s="9" t="s">
        <v>19</v>
      </c>
      <c r="F3" s="10" t="s">
        <v>20</v>
      </c>
      <c r="G3" s="10"/>
      <c r="H3" s="10"/>
      <c r="I3" s="10" t="s">
        <v>21</v>
      </c>
      <c r="J3" s="10" t="s">
        <v>22</v>
      </c>
      <c r="K3" s="10" t="s">
        <v>23</v>
      </c>
      <c r="L3" s="30" t="s">
        <v>24</v>
      </c>
      <c r="M3" s="30" t="s">
        <v>25</v>
      </c>
      <c r="N3" s="9" t="s">
        <v>26</v>
      </c>
      <c r="O3" s="9" t="s">
        <v>27</v>
      </c>
      <c r="P3" s="8" t="s">
        <v>28</v>
      </c>
      <c r="Q3" s="9" t="s">
        <v>29</v>
      </c>
      <c r="R3" s="9" t="s">
        <v>30</v>
      </c>
      <c r="S3" s="9" t="s">
        <v>31</v>
      </c>
      <c r="T3" s="9" t="s">
        <v>32</v>
      </c>
    </row>
    <row r="4" s="1" customFormat="1" ht="33" customHeight="1" spans="1:20">
      <c r="A4" s="8"/>
      <c r="B4" s="9"/>
      <c r="C4" s="8"/>
      <c r="D4" s="8"/>
      <c r="E4" s="11"/>
      <c r="F4" s="10" t="s">
        <v>33</v>
      </c>
      <c r="G4" s="12" t="s">
        <v>34</v>
      </c>
      <c r="H4" s="10" t="s">
        <v>35</v>
      </c>
      <c r="I4" s="10"/>
      <c r="J4" s="10"/>
      <c r="K4" s="31" t="s">
        <v>36</v>
      </c>
      <c r="L4" s="31">
        <v>0.2</v>
      </c>
      <c r="M4" s="31" t="s">
        <v>37</v>
      </c>
      <c r="N4" s="9"/>
      <c r="O4" s="32"/>
      <c r="P4" s="13"/>
      <c r="Q4" s="9"/>
      <c r="R4" s="32"/>
      <c r="S4" s="32"/>
      <c r="T4" s="11"/>
    </row>
    <row r="5" s="1" customFormat="1" ht="33" hidden="1" customHeight="1" spans="1:20">
      <c r="A5" s="8"/>
      <c r="B5" s="9"/>
      <c r="C5" s="8"/>
      <c r="D5" s="8"/>
      <c r="E5" s="38" t="s">
        <v>38</v>
      </c>
      <c r="F5" s="39" t="s">
        <v>39</v>
      </c>
      <c r="G5" s="40" t="s">
        <v>40</v>
      </c>
      <c r="H5" s="39" t="s">
        <v>41</v>
      </c>
      <c r="I5" s="39" t="s">
        <v>42</v>
      </c>
      <c r="J5" s="39" t="s">
        <v>43</v>
      </c>
      <c r="K5" s="39" t="s">
        <v>44</v>
      </c>
      <c r="L5" s="46" t="s">
        <v>45</v>
      </c>
      <c r="M5" s="46" t="s">
        <v>46</v>
      </c>
      <c r="N5" s="47" t="s">
        <v>47</v>
      </c>
      <c r="O5" s="47" t="s">
        <v>48</v>
      </c>
      <c r="P5" s="38" t="s">
        <v>38</v>
      </c>
      <c r="Q5" s="47" t="s">
        <v>49</v>
      </c>
      <c r="R5" s="47" t="s">
        <v>48</v>
      </c>
      <c r="S5" s="47"/>
      <c r="T5" s="11"/>
    </row>
    <row r="6" s="1" customFormat="1" ht="33" hidden="1" customHeight="1" spans="1:20">
      <c r="A6" s="8"/>
      <c r="B6" s="9"/>
      <c r="C6" s="8"/>
      <c r="D6" s="8"/>
      <c r="E6" s="41" t="s">
        <v>50</v>
      </c>
      <c r="F6" s="42"/>
      <c r="G6" s="42"/>
      <c r="H6" s="42"/>
      <c r="I6" s="42"/>
      <c r="J6" s="42"/>
      <c r="K6" s="42"/>
      <c r="L6" s="42"/>
      <c r="M6" s="42"/>
      <c r="N6" s="42"/>
      <c r="O6" s="48"/>
      <c r="P6" s="49" t="s">
        <v>51</v>
      </c>
      <c r="Q6" s="52"/>
      <c r="R6" s="53"/>
      <c r="S6" s="53"/>
      <c r="T6" s="11"/>
    </row>
    <row r="7" s="1" customFormat="1" ht="166" customHeight="1" spans="1:25">
      <c r="A7" s="14">
        <v>1</v>
      </c>
      <c r="B7" s="15" t="s">
        <v>72</v>
      </c>
      <c r="C7" s="6" t="s">
        <v>73</v>
      </c>
      <c r="D7" s="16" t="s">
        <v>54</v>
      </c>
      <c r="E7" s="43">
        <v>55.17</v>
      </c>
      <c r="F7" s="44"/>
      <c r="G7" s="44"/>
      <c r="H7" s="44"/>
      <c r="I7" s="44">
        <v>58</v>
      </c>
      <c r="J7" s="44">
        <v>30</v>
      </c>
      <c r="K7" s="44">
        <f t="shared" ref="K7:K13" si="0">(H7+I7+J7)*15%</f>
        <v>13.2</v>
      </c>
      <c r="L7" s="50">
        <f t="shared" ref="L7:L13" si="1">(H7+I7+J7+K7)*0.2</f>
        <v>20.24</v>
      </c>
      <c r="M7" s="50">
        <f t="shared" ref="M7:M13" si="2">(H7+I7+J7+L7+K7)*0.09</f>
        <v>10.9296</v>
      </c>
      <c r="N7" s="51">
        <f>SUM(H7:M7)</f>
        <v>132.3696</v>
      </c>
      <c r="O7" s="51">
        <f t="shared" ref="O7:O14" si="3">E7*N7</f>
        <v>7302.830832</v>
      </c>
      <c r="P7" s="32">
        <f>E7</f>
        <v>55.17</v>
      </c>
      <c r="Q7" s="54">
        <v>107.6</v>
      </c>
      <c r="R7" s="32">
        <f>P7*Q7</f>
        <v>5936.292</v>
      </c>
      <c r="S7" s="32">
        <f>R7-O7</f>
        <v>-1366.538832</v>
      </c>
      <c r="T7" s="11"/>
      <c r="Y7" s="56"/>
    </row>
    <row r="8" s="1" customFormat="1" ht="146" customHeight="1" spans="1:25">
      <c r="A8" s="14">
        <v>2</v>
      </c>
      <c r="B8" s="15" t="s">
        <v>74</v>
      </c>
      <c r="C8" s="6" t="s">
        <v>75</v>
      </c>
      <c r="D8" s="16" t="s">
        <v>54</v>
      </c>
      <c r="E8" s="15">
        <v>50</v>
      </c>
      <c r="F8" s="11"/>
      <c r="G8" s="45"/>
      <c r="H8" s="11">
        <v>0</v>
      </c>
      <c r="I8" s="11">
        <v>25</v>
      </c>
      <c r="J8" s="11">
        <v>5</v>
      </c>
      <c r="K8" s="11">
        <f t="shared" si="0"/>
        <v>4.5</v>
      </c>
      <c r="L8" s="19">
        <f t="shared" si="1"/>
        <v>6.9</v>
      </c>
      <c r="M8" s="19">
        <f t="shared" si="2"/>
        <v>3.726</v>
      </c>
      <c r="N8" s="32">
        <f t="shared" ref="N8:N14" si="4">SUM(H8:M8)</f>
        <v>45.126</v>
      </c>
      <c r="O8" s="32">
        <f t="shared" si="3"/>
        <v>2256.3</v>
      </c>
      <c r="P8" s="32">
        <f t="shared" ref="P8:P14" si="5">E8</f>
        <v>50</v>
      </c>
      <c r="Q8" s="54">
        <v>52.3</v>
      </c>
      <c r="R8" s="32">
        <f t="shared" ref="R8:R14" si="6">P8*Q8</f>
        <v>2615</v>
      </c>
      <c r="S8" s="32">
        <f t="shared" ref="S8:S15" si="7">R8-O8</f>
        <v>358.7</v>
      </c>
      <c r="T8" s="11"/>
      <c r="Y8" s="56"/>
    </row>
    <row r="9" s="1" customFormat="1" ht="99" customHeight="1" spans="1:264">
      <c r="A9" s="14">
        <v>3</v>
      </c>
      <c r="B9" s="17" t="s">
        <v>55</v>
      </c>
      <c r="C9" s="18" t="s">
        <v>56</v>
      </c>
      <c r="D9" s="16" t="s">
        <v>57</v>
      </c>
      <c r="E9" s="19">
        <v>2</v>
      </c>
      <c r="F9" s="11"/>
      <c r="G9" s="11"/>
      <c r="H9" s="11"/>
      <c r="I9" s="11">
        <v>700</v>
      </c>
      <c r="J9" s="11">
        <v>500</v>
      </c>
      <c r="K9" s="11">
        <f t="shared" si="0"/>
        <v>180</v>
      </c>
      <c r="L9" s="19">
        <f t="shared" si="1"/>
        <v>276</v>
      </c>
      <c r="M9" s="19">
        <f t="shared" si="2"/>
        <v>149.04</v>
      </c>
      <c r="N9" s="32">
        <f t="shared" si="4"/>
        <v>1805.04</v>
      </c>
      <c r="O9" s="32">
        <f t="shared" si="3"/>
        <v>3610.08</v>
      </c>
      <c r="P9" s="32">
        <f t="shared" si="5"/>
        <v>2</v>
      </c>
      <c r="Q9" s="55">
        <v>166.45</v>
      </c>
      <c r="R9" s="32">
        <f t="shared" si="6"/>
        <v>332.9</v>
      </c>
      <c r="S9" s="32">
        <f t="shared" si="7"/>
        <v>-3277.18</v>
      </c>
      <c r="T9" s="32"/>
      <c r="U9" s="2"/>
      <c r="V9" s="2"/>
      <c r="W9" s="1"/>
      <c r="Y9" s="56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</row>
    <row r="10" s="1" customFormat="1" ht="273.6" spans="1:25">
      <c r="A10" s="14">
        <v>4</v>
      </c>
      <c r="B10" s="15" t="s">
        <v>58</v>
      </c>
      <c r="C10" s="6" t="s">
        <v>76</v>
      </c>
      <c r="D10" s="16" t="s">
        <v>54</v>
      </c>
      <c r="E10" s="15">
        <v>55.17</v>
      </c>
      <c r="F10" s="11">
        <v>297</v>
      </c>
      <c r="G10" s="45">
        <v>0.1</v>
      </c>
      <c r="H10" s="11">
        <v>326.7</v>
      </c>
      <c r="I10" s="11">
        <v>160</v>
      </c>
      <c r="J10" s="11">
        <v>48</v>
      </c>
      <c r="K10" s="11">
        <f t="shared" si="0"/>
        <v>80.205</v>
      </c>
      <c r="L10" s="19">
        <f t="shared" si="1"/>
        <v>122.981</v>
      </c>
      <c r="M10" s="19">
        <f t="shared" si="2"/>
        <v>66.40974</v>
      </c>
      <c r="N10" s="32">
        <f t="shared" si="4"/>
        <v>804.29574</v>
      </c>
      <c r="O10" s="32">
        <f t="shared" si="3"/>
        <v>44372.9959758</v>
      </c>
      <c r="P10" s="32">
        <f t="shared" si="5"/>
        <v>55.17</v>
      </c>
      <c r="Q10" s="54">
        <v>612.5</v>
      </c>
      <c r="R10" s="32">
        <f t="shared" si="6"/>
        <v>33791.625</v>
      </c>
      <c r="S10" s="32">
        <f t="shared" si="7"/>
        <v>-10581.3709758</v>
      </c>
      <c r="T10" s="11" t="s">
        <v>77</v>
      </c>
      <c r="W10" s="2"/>
      <c r="X10" s="2"/>
      <c r="Y10" s="56"/>
    </row>
    <row r="11" s="1" customFormat="1" ht="216" spans="1:25">
      <c r="A11" s="14">
        <v>5</v>
      </c>
      <c r="B11" s="15" t="s">
        <v>60</v>
      </c>
      <c r="C11" s="6" t="s">
        <v>78</v>
      </c>
      <c r="D11" s="16" t="s">
        <v>54</v>
      </c>
      <c r="E11" s="15">
        <v>138.6</v>
      </c>
      <c r="F11" s="11">
        <v>297</v>
      </c>
      <c r="G11" s="45">
        <v>0.1</v>
      </c>
      <c r="H11" s="11">
        <v>326.7</v>
      </c>
      <c r="I11" s="11">
        <v>160</v>
      </c>
      <c r="J11" s="11">
        <v>48</v>
      </c>
      <c r="K11" s="11">
        <f t="shared" si="0"/>
        <v>80.205</v>
      </c>
      <c r="L11" s="19">
        <f t="shared" si="1"/>
        <v>122.981</v>
      </c>
      <c r="M11" s="19">
        <f t="shared" si="2"/>
        <v>66.40974</v>
      </c>
      <c r="N11" s="32">
        <f t="shared" si="4"/>
        <v>804.29574</v>
      </c>
      <c r="O11" s="32">
        <f t="shared" si="3"/>
        <v>111475.389564</v>
      </c>
      <c r="P11" s="32">
        <f t="shared" si="5"/>
        <v>138.6</v>
      </c>
      <c r="Q11" s="54">
        <v>550.09</v>
      </c>
      <c r="R11" s="32">
        <f t="shared" si="6"/>
        <v>76242.474</v>
      </c>
      <c r="S11" s="32">
        <f t="shared" si="7"/>
        <v>-35232.915564</v>
      </c>
      <c r="T11" s="11" t="s">
        <v>79</v>
      </c>
      <c r="X11" s="2"/>
      <c r="Y11" s="56"/>
    </row>
    <row r="12" s="1" customFormat="1" ht="144" spans="1:264">
      <c r="A12" s="14">
        <v>6</v>
      </c>
      <c r="B12" s="17" t="s">
        <v>80</v>
      </c>
      <c r="C12" s="18" t="s">
        <v>81</v>
      </c>
      <c r="D12" s="16" t="s">
        <v>54</v>
      </c>
      <c r="E12" s="15">
        <f>E8</f>
        <v>50</v>
      </c>
      <c r="F12" s="11">
        <v>80</v>
      </c>
      <c r="G12" s="45">
        <v>0.1</v>
      </c>
      <c r="H12" s="11">
        <f>F12*(1+G12)</f>
        <v>88</v>
      </c>
      <c r="I12" s="11">
        <v>130</v>
      </c>
      <c r="J12" s="11">
        <v>38</v>
      </c>
      <c r="K12" s="11">
        <f t="shared" si="0"/>
        <v>38.4</v>
      </c>
      <c r="L12" s="19">
        <f t="shared" si="1"/>
        <v>58.88</v>
      </c>
      <c r="M12" s="19">
        <f t="shared" si="2"/>
        <v>31.7952</v>
      </c>
      <c r="N12" s="32">
        <f t="shared" si="4"/>
        <v>385.0752</v>
      </c>
      <c r="O12" s="32">
        <f t="shared" si="3"/>
        <v>19253.76</v>
      </c>
      <c r="P12" s="32">
        <f t="shared" si="5"/>
        <v>50</v>
      </c>
      <c r="Q12" s="54">
        <v>120.56</v>
      </c>
      <c r="R12" s="32">
        <f t="shared" si="6"/>
        <v>6028</v>
      </c>
      <c r="S12" s="32">
        <f t="shared" si="7"/>
        <v>-13225.76</v>
      </c>
      <c r="T12" s="11"/>
      <c r="U12" s="2"/>
      <c r="Y12" s="56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</row>
    <row r="13" s="1" customFormat="1" ht="129.6" spans="1:264">
      <c r="A13" s="14">
        <v>7</v>
      </c>
      <c r="B13" s="17" t="s">
        <v>82</v>
      </c>
      <c r="C13" s="18" t="s">
        <v>83</v>
      </c>
      <c r="D13" s="16" t="s">
        <v>54</v>
      </c>
      <c r="E13" s="15">
        <v>50</v>
      </c>
      <c r="F13" s="11">
        <v>12</v>
      </c>
      <c r="G13" s="45">
        <v>0.1</v>
      </c>
      <c r="H13" s="11">
        <f>F13*(1+G13)</f>
        <v>13.2</v>
      </c>
      <c r="I13" s="11">
        <v>45</v>
      </c>
      <c r="J13" s="11">
        <v>5</v>
      </c>
      <c r="K13" s="11">
        <f t="shared" si="0"/>
        <v>9.48</v>
      </c>
      <c r="L13" s="19">
        <f t="shared" si="1"/>
        <v>14.536</v>
      </c>
      <c r="M13" s="19">
        <f t="shared" si="2"/>
        <v>7.84944</v>
      </c>
      <c r="N13" s="32">
        <f t="shared" si="4"/>
        <v>95.06544</v>
      </c>
      <c r="O13" s="32">
        <f t="shared" si="3"/>
        <v>4753.272</v>
      </c>
      <c r="P13" s="32">
        <f t="shared" si="5"/>
        <v>50</v>
      </c>
      <c r="Q13" s="55">
        <v>80.06</v>
      </c>
      <c r="R13" s="32">
        <f t="shared" si="6"/>
        <v>4003</v>
      </c>
      <c r="S13" s="32">
        <f t="shared" si="7"/>
        <v>-750.272</v>
      </c>
      <c r="T13" s="11"/>
      <c r="U13" s="2"/>
      <c r="V13" s="2"/>
      <c r="W13" s="2"/>
      <c r="X13" s="2"/>
      <c r="Y13" s="56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</row>
    <row r="14" s="1" customFormat="1" ht="151" customHeight="1" spans="1:25">
      <c r="A14" s="14">
        <v>8</v>
      </c>
      <c r="B14" s="17" t="s">
        <v>62</v>
      </c>
      <c r="C14" s="18" t="s">
        <v>63</v>
      </c>
      <c r="D14" s="16" t="s">
        <v>64</v>
      </c>
      <c r="E14" s="15">
        <v>0.3</v>
      </c>
      <c r="F14" s="11">
        <v>-1800</v>
      </c>
      <c r="G14" s="7"/>
      <c r="H14" s="11">
        <v>-1800</v>
      </c>
      <c r="I14" s="11"/>
      <c r="J14" s="11"/>
      <c r="K14" s="11"/>
      <c r="L14" s="11">
        <f>SUM(H14:J14)*0.2</f>
        <v>-360</v>
      </c>
      <c r="M14" s="11">
        <f>SUM(H14:L14)*0.09</f>
        <v>-194.4</v>
      </c>
      <c r="N14" s="32">
        <f t="shared" si="4"/>
        <v>-2354.4</v>
      </c>
      <c r="O14" s="32">
        <f t="shared" si="3"/>
        <v>-706.32</v>
      </c>
      <c r="P14" s="32">
        <f t="shared" si="5"/>
        <v>0.3</v>
      </c>
      <c r="Q14" s="32">
        <v>-2707.56</v>
      </c>
      <c r="R14" s="32">
        <f t="shared" si="6"/>
        <v>-812.268</v>
      </c>
      <c r="S14" s="32">
        <f t="shared" si="7"/>
        <v>-105.948</v>
      </c>
      <c r="T14" s="11"/>
      <c r="Y14" s="56"/>
    </row>
    <row r="15" s="1" customFormat="1" ht="37" customHeight="1" spans="1:20">
      <c r="A15" s="14">
        <v>9</v>
      </c>
      <c r="B15" s="20" t="s">
        <v>65</v>
      </c>
      <c r="C15" s="21"/>
      <c r="D15" s="16" t="s">
        <v>66</v>
      </c>
      <c r="E15" s="15">
        <v>1</v>
      </c>
      <c r="F15" s="11"/>
      <c r="G15" s="11"/>
      <c r="H15" s="11"/>
      <c r="I15" s="11"/>
      <c r="J15" s="11" t="s">
        <v>67</v>
      </c>
      <c r="K15" s="11"/>
      <c r="L15" s="19">
        <f>SUM(O7:O14)/1.09</f>
        <v>176438.81502</v>
      </c>
      <c r="M15" s="36">
        <v>0.0334</v>
      </c>
      <c r="N15" s="32">
        <f>(L15*M15)*0.09</f>
        <v>530.37507795012</v>
      </c>
      <c r="O15" s="32">
        <f>L15*M15+N15</f>
        <v>6423.43149961812</v>
      </c>
      <c r="P15" s="32"/>
      <c r="Q15" s="32"/>
      <c r="R15" s="32"/>
      <c r="S15" s="32">
        <f t="shared" si="7"/>
        <v>-6423.43149961812</v>
      </c>
      <c r="T15" s="32"/>
    </row>
    <row r="16" s="1" customFormat="1" ht="24" customHeight="1" spans="1:20">
      <c r="A16" s="14">
        <v>10</v>
      </c>
      <c r="B16" s="9" t="s">
        <v>84</v>
      </c>
      <c r="C16" s="6"/>
      <c r="D16" s="17"/>
      <c r="E16" s="15"/>
      <c r="F16" s="11"/>
      <c r="G16" s="11"/>
      <c r="H16" s="11"/>
      <c r="I16" s="11"/>
      <c r="J16" s="11"/>
      <c r="K16" s="11"/>
      <c r="L16" s="11"/>
      <c r="M16" s="11"/>
      <c r="N16" s="32"/>
      <c r="O16" s="32"/>
      <c r="P16" s="32"/>
      <c r="Q16" s="32"/>
      <c r="R16" s="32"/>
      <c r="S16" s="32"/>
      <c r="T16" s="32"/>
    </row>
    <row r="17" s="1" customFormat="1" ht="24" customHeight="1" spans="1:20">
      <c r="A17" s="14">
        <v>11</v>
      </c>
      <c r="B17" s="22" t="s">
        <v>69</v>
      </c>
      <c r="C17" s="18"/>
      <c r="D17" s="17"/>
      <c r="E17" s="15"/>
      <c r="F17" s="11"/>
      <c r="G17" s="11"/>
      <c r="H17" s="11"/>
      <c r="I17" s="11"/>
      <c r="J17" s="24"/>
      <c r="K17" s="24"/>
      <c r="L17" s="24"/>
      <c r="M17" s="24"/>
      <c r="N17" s="37"/>
      <c r="O17" s="32">
        <f>SUM(O7:O16)</f>
        <v>198741.739871418</v>
      </c>
      <c r="P17" s="32"/>
      <c r="Q17" s="32"/>
      <c r="R17" s="32">
        <f>SUM(R7:R16)</f>
        <v>128137.023</v>
      </c>
      <c r="S17" s="32">
        <f>R17-O17</f>
        <v>-70604.7168714181</v>
      </c>
      <c r="T17" s="32"/>
    </row>
    <row r="18" s="1" customFormat="1" ht="26.1" customHeight="1" spans="1:20">
      <c r="A18" s="23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37"/>
      <c r="O18" s="32"/>
      <c r="P18" s="32"/>
      <c r="Q18" s="32"/>
      <c r="R18" s="32"/>
      <c r="S18" s="32"/>
      <c r="T18" s="24"/>
    </row>
    <row r="19" s="1" customFormat="1" ht="26.1" customHeight="1" spans="1:20">
      <c r="A19" s="25"/>
      <c r="B19" s="26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="1" customFormat="1" ht="26.1" customHeight="1" spans="1:20">
      <c r="A20" s="25"/>
      <c r="B20" s="26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="1" customFormat="1" ht="13.5" customHeight="1" spans="1:20">
      <c r="A21" s="25"/>
      <c r="B21" s="2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s="1" customFormat="1" ht="13.5" customHeight="1" spans="1:20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4" s="1" customFormat="1" ht="13.5" customHeight="1" spans="3:3">
      <c r="C24" s="27"/>
    </row>
  </sheetData>
  <mergeCells count="23">
    <mergeCell ref="A1:T1"/>
    <mergeCell ref="A2:T2"/>
    <mergeCell ref="F3:H3"/>
    <mergeCell ref="E6:O6"/>
    <mergeCell ref="P6:R6"/>
    <mergeCell ref="B15:C15"/>
    <mergeCell ref="B16:C16"/>
    <mergeCell ref="B17:C17"/>
    <mergeCell ref="A18:N18"/>
    <mergeCell ref="A3:A5"/>
    <mergeCell ref="B3:B5"/>
    <mergeCell ref="C3:C5"/>
    <mergeCell ref="D3:D5"/>
    <mergeCell ref="E3:E4"/>
    <mergeCell ref="I3:I4"/>
    <mergeCell ref="J3:J4"/>
    <mergeCell ref="N3:N4"/>
    <mergeCell ref="O3:O4"/>
    <mergeCell ref="P3:P4"/>
    <mergeCell ref="Q3:Q4"/>
    <mergeCell ref="R3:R4"/>
    <mergeCell ref="S3:S4"/>
    <mergeCell ref="T3:T4"/>
  </mergeCells>
  <pageMargins left="0.751388888888889" right="0.751388888888889" top="1" bottom="1" header="0.5" footer="0.5"/>
  <pageSetup paperSize="9" scale="7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showGridLines="0" tabSelected="1" zoomScale="55" zoomScaleNormal="55" workbookViewId="0">
      <selection activeCell="X7" sqref="X7"/>
    </sheetView>
  </sheetViews>
  <sheetFormatPr defaultColWidth="9" defaultRowHeight="13.5" customHeight="1"/>
  <cols>
    <col min="1" max="1" width="4.62962962962963" style="2" customWidth="1"/>
    <col min="2" max="2" width="20.0462962962963" style="3" customWidth="1"/>
    <col min="3" max="3" width="44.0925925925926" style="2" customWidth="1"/>
    <col min="4" max="4" width="5.75" style="2" customWidth="1"/>
    <col min="5" max="5" width="9.25" style="2" customWidth="1"/>
    <col min="6" max="6" width="12.2685185185185" style="2" hidden="1" customWidth="1"/>
    <col min="7" max="7" width="11.2314814814815" style="2" hidden="1" customWidth="1"/>
    <col min="8" max="9" width="9.62962962962963" style="2" hidden="1" customWidth="1"/>
    <col min="10" max="11" width="9.9537037037037" style="2" hidden="1" customWidth="1"/>
    <col min="12" max="13" width="16.25" style="2" hidden="1" customWidth="1"/>
    <col min="14" max="14" width="14.2314814814815" style="2" customWidth="1"/>
    <col min="15" max="19" width="11.8703703703704" style="2" customWidth="1"/>
    <col min="20" max="20" width="10.5925925925926" style="2" customWidth="1"/>
    <col min="21" max="264" width="8.87037037037037" style="2" customWidth="1"/>
    <col min="265" max="16384" width="9" style="1"/>
  </cols>
  <sheetData>
    <row r="1" ht="42" customHeight="1" spans="1:20">
      <c r="A1" s="4" t="s">
        <v>85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8"/>
      <c r="O1" s="28"/>
      <c r="P1" s="28"/>
      <c r="Q1" s="28"/>
      <c r="R1" s="28"/>
      <c r="S1" s="28"/>
      <c r="T1" s="5"/>
    </row>
    <row r="2" ht="26.1" customHeight="1" spans="1:20">
      <c r="A2" s="6" t="s">
        <v>86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9"/>
      <c r="O2" s="29"/>
      <c r="P2" s="29"/>
      <c r="Q2" s="29"/>
      <c r="R2" s="29"/>
      <c r="S2" s="29"/>
      <c r="T2" s="7"/>
    </row>
    <row r="3" ht="43" customHeight="1" spans="1:20">
      <c r="A3" s="8" t="s">
        <v>1</v>
      </c>
      <c r="B3" s="9" t="s">
        <v>16</v>
      </c>
      <c r="C3" s="8" t="s">
        <v>17</v>
      </c>
      <c r="D3" s="8" t="s">
        <v>18</v>
      </c>
      <c r="E3" s="9" t="s">
        <v>19</v>
      </c>
      <c r="F3" s="10" t="s">
        <v>20</v>
      </c>
      <c r="G3" s="10"/>
      <c r="H3" s="10"/>
      <c r="I3" s="10" t="s">
        <v>21</v>
      </c>
      <c r="J3" s="10" t="s">
        <v>22</v>
      </c>
      <c r="K3" s="10" t="s">
        <v>23</v>
      </c>
      <c r="L3" s="30" t="s">
        <v>24</v>
      </c>
      <c r="M3" s="30" t="s">
        <v>25</v>
      </c>
      <c r="N3" s="9" t="s">
        <v>26</v>
      </c>
      <c r="O3" s="9" t="s">
        <v>27</v>
      </c>
      <c r="P3" s="8" t="s">
        <v>28</v>
      </c>
      <c r="Q3" s="9" t="s">
        <v>29</v>
      </c>
      <c r="R3" s="9" t="s">
        <v>30</v>
      </c>
      <c r="S3" s="9" t="s">
        <v>31</v>
      </c>
      <c r="T3" s="9" t="s">
        <v>32</v>
      </c>
    </row>
    <row r="4" ht="33" customHeight="1" spans="1:20">
      <c r="A4" s="8"/>
      <c r="B4" s="9"/>
      <c r="C4" s="8"/>
      <c r="D4" s="8"/>
      <c r="E4" s="11"/>
      <c r="F4" s="10" t="s">
        <v>33</v>
      </c>
      <c r="G4" s="12" t="s">
        <v>34</v>
      </c>
      <c r="H4" s="10" t="s">
        <v>35</v>
      </c>
      <c r="I4" s="10"/>
      <c r="J4" s="10"/>
      <c r="K4" s="31" t="s">
        <v>36</v>
      </c>
      <c r="L4" s="31">
        <v>0.2</v>
      </c>
      <c r="M4" s="31" t="s">
        <v>37</v>
      </c>
      <c r="N4" s="9"/>
      <c r="O4" s="32"/>
      <c r="P4" s="13"/>
      <c r="Q4" s="9"/>
      <c r="R4" s="32"/>
      <c r="S4" s="32"/>
      <c r="T4" s="11"/>
    </row>
    <row r="5" ht="33" hidden="1" customHeight="1" spans="1:20">
      <c r="A5" s="8"/>
      <c r="B5" s="9"/>
      <c r="C5" s="8"/>
      <c r="D5" s="8"/>
      <c r="E5" s="13" t="s">
        <v>38</v>
      </c>
      <c r="F5" s="10" t="s">
        <v>39</v>
      </c>
      <c r="G5" s="12" t="s">
        <v>40</v>
      </c>
      <c r="H5" s="10" t="s">
        <v>41</v>
      </c>
      <c r="I5" s="10" t="s">
        <v>42</v>
      </c>
      <c r="J5" s="10" t="s">
        <v>43</v>
      </c>
      <c r="K5" s="33" t="s">
        <v>44</v>
      </c>
      <c r="L5" s="34" t="s">
        <v>45</v>
      </c>
      <c r="M5" s="34" t="s">
        <v>46</v>
      </c>
      <c r="N5" s="35" t="s">
        <v>47</v>
      </c>
      <c r="O5" s="35" t="s">
        <v>48</v>
      </c>
      <c r="P5" s="13" t="s">
        <v>38</v>
      </c>
      <c r="Q5" s="35" t="s">
        <v>49</v>
      </c>
      <c r="R5" s="35" t="s">
        <v>48</v>
      </c>
      <c r="S5" s="35"/>
      <c r="T5" s="11"/>
    </row>
    <row r="6" ht="166" customHeight="1" spans="1:20">
      <c r="A6" s="14">
        <v>1</v>
      </c>
      <c r="B6" s="15" t="s">
        <v>87</v>
      </c>
      <c r="C6" s="6" t="s">
        <v>88</v>
      </c>
      <c r="D6" s="16" t="s">
        <v>54</v>
      </c>
      <c r="E6" s="15">
        <v>81.48</v>
      </c>
      <c r="F6" s="11"/>
      <c r="G6" s="11"/>
      <c r="H6" s="11"/>
      <c r="I6" s="11">
        <v>58</v>
      </c>
      <c r="J6" s="11">
        <v>30</v>
      </c>
      <c r="K6" s="11">
        <f t="shared" ref="K6:K9" si="0">(H6+I6+J6)*15%</f>
        <v>13.2</v>
      </c>
      <c r="L6" s="19">
        <f>(H6+I6+J6+K6)*0.2</f>
        <v>20.24</v>
      </c>
      <c r="M6" s="19">
        <f>(H6+I6+J6+L6+K6)*0.09</f>
        <v>10.9296</v>
      </c>
      <c r="N6" s="32">
        <f>SUM(H6:M6)</f>
        <v>132.3696</v>
      </c>
      <c r="O6" s="32">
        <f>N6*E6</f>
        <v>10785.475008</v>
      </c>
      <c r="P6" s="32">
        <f>E6</f>
        <v>81.48</v>
      </c>
      <c r="Q6" s="32">
        <f>'6号楼'!Q7</f>
        <v>107.6</v>
      </c>
      <c r="R6" s="32">
        <f>P6*Q6</f>
        <v>8767.248</v>
      </c>
      <c r="S6" s="32">
        <f t="shared" ref="S6:S11" si="1">R6-O6</f>
        <v>-2018.227008</v>
      </c>
      <c r="T6" s="11"/>
    </row>
    <row r="7" s="1" customFormat="1" ht="99" customHeight="1" spans="1:20">
      <c r="A7" s="14">
        <v>2</v>
      </c>
      <c r="B7" s="17" t="s">
        <v>55</v>
      </c>
      <c r="C7" s="18" t="s">
        <v>56</v>
      </c>
      <c r="D7" s="16" t="s">
        <v>57</v>
      </c>
      <c r="E7" s="19">
        <v>2</v>
      </c>
      <c r="F7" s="11"/>
      <c r="G7" s="11"/>
      <c r="H7" s="11"/>
      <c r="I7" s="11">
        <v>700</v>
      </c>
      <c r="J7" s="11">
        <v>500</v>
      </c>
      <c r="K7" s="11">
        <f t="shared" si="0"/>
        <v>180</v>
      </c>
      <c r="L7" s="19">
        <f t="shared" ref="L6:L9" si="2">(H7+I7+J7+K7)*0.2</f>
        <v>276</v>
      </c>
      <c r="M7" s="19">
        <f t="shared" ref="M6:M9" si="3">(H7+I7+J7+L7+K7)*0.09</f>
        <v>149.04</v>
      </c>
      <c r="N7" s="32">
        <f>SUM(H7:M7)</f>
        <v>1805.04</v>
      </c>
      <c r="O7" s="32">
        <f>N7*E7</f>
        <v>3610.08</v>
      </c>
      <c r="P7" s="32">
        <f>E7</f>
        <v>2</v>
      </c>
      <c r="Q7" s="32">
        <f>'6号楼'!Q9</f>
        <v>166.45</v>
      </c>
      <c r="R7" s="32">
        <f>P7*Q7</f>
        <v>332.9</v>
      </c>
      <c r="S7" s="32">
        <f t="shared" si="1"/>
        <v>-3277.18</v>
      </c>
      <c r="T7" s="32"/>
    </row>
    <row r="8" ht="273.6" spans="1:20">
      <c r="A8" s="14">
        <v>3</v>
      </c>
      <c r="B8" s="15" t="s">
        <v>58</v>
      </c>
      <c r="C8" s="6" t="s">
        <v>89</v>
      </c>
      <c r="D8" s="16" t="s">
        <v>54</v>
      </c>
      <c r="E8" s="15">
        <f>E6</f>
        <v>81.48</v>
      </c>
      <c r="F8" s="11">
        <v>297</v>
      </c>
      <c r="G8" s="11">
        <v>29.7</v>
      </c>
      <c r="H8" s="11">
        <v>326.7</v>
      </c>
      <c r="I8" s="11">
        <v>160</v>
      </c>
      <c r="J8" s="11">
        <v>48</v>
      </c>
      <c r="K8" s="11">
        <f t="shared" si="0"/>
        <v>80.205</v>
      </c>
      <c r="L8" s="19">
        <f t="shared" si="2"/>
        <v>122.981</v>
      </c>
      <c r="M8" s="19">
        <f t="shared" si="3"/>
        <v>66.40974</v>
      </c>
      <c r="N8" s="32">
        <f>SUM(H8:M8)</f>
        <v>804.29574</v>
      </c>
      <c r="O8" s="32">
        <f>N8*E8</f>
        <v>65534.0168952</v>
      </c>
      <c r="P8" s="32">
        <f>E8</f>
        <v>81.48</v>
      </c>
      <c r="Q8" s="32">
        <f>'6号楼'!Q10</f>
        <v>612.5</v>
      </c>
      <c r="R8" s="32">
        <f>P8*Q8</f>
        <v>49906.5</v>
      </c>
      <c r="S8" s="32">
        <f t="shared" si="1"/>
        <v>-15627.5168952</v>
      </c>
      <c r="T8" s="11" t="s">
        <v>77</v>
      </c>
    </row>
    <row r="9" ht="151" customHeight="1" spans="1:20">
      <c r="A9" s="14">
        <v>4</v>
      </c>
      <c r="B9" s="17" t="s">
        <v>62</v>
      </c>
      <c r="C9" s="18" t="s">
        <v>63</v>
      </c>
      <c r="D9" s="16" t="s">
        <v>64</v>
      </c>
      <c r="E9" s="15">
        <v>0.3</v>
      </c>
      <c r="F9" s="11">
        <f>-1.8*1000</f>
        <v>-1800</v>
      </c>
      <c r="G9" s="7"/>
      <c r="H9" s="11">
        <f>F9</f>
        <v>-1800</v>
      </c>
      <c r="I9" s="11">
        <v>0</v>
      </c>
      <c r="J9" s="11">
        <v>0</v>
      </c>
      <c r="K9" s="11">
        <f t="shared" si="0"/>
        <v>-270</v>
      </c>
      <c r="L9" s="19">
        <f t="shared" si="2"/>
        <v>-414</v>
      </c>
      <c r="M9" s="19">
        <f t="shared" si="3"/>
        <v>-223.56</v>
      </c>
      <c r="N9" s="32">
        <f>SUM(H9:M9)</f>
        <v>-2707.56</v>
      </c>
      <c r="O9" s="32">
        <f>N9*E9</f>
        <v>-812.268</v>
      </c>
      <c r="P9" s="32">
        <f>E9</f>
        <v>0.3</v>
      </c>
      <c r="Q9" s="32">
        <v>-2707.56</v>
      </c>
      <c r="R9" s="32">
        <f>P9*Q9</f>
        <v>-812.268</v>
      </c>
      <c r="S9" s="32">
        <f t="shared" si="1"/>
        <v>0</v>
      </c>
      <c r="T9" s="11"/>
    </row>
    <row r="10" ht="37" customHeight="1" spans="1:20">
      <c r="A10" s="14">
        <v>5</v>
      </c>
      <c r="B10" s="20" t="s">
        <v>65</v>
      </c>
      <c r="C10" s="21"/>
      <c r="D10" s="16" t="s">
        <v>66</v>
      </c>
      <c r="E10" s="15">
        <v>1</v>
      </c>
      <c r="F10" s="11"/>
      <c r="G10" s="11"/>
      <c r="H10" s="11"/>
      <c r="I10" s="11"/>
      <c r="J10" s="11" t="s">
        <v>67</v>
      </c>
      <c r="K10" s="11"/>
      <c r="L10" s="19">
        <f>SUM(O5:O9)/1.09</f>
        <v>72584.68248</v>
      </c>
      <c r="M10" s="36">
        <v>0.0334</v>
      </c>
      <c r="N10" s="32">
        <f>(L10*M10)*0.09</f>
        <v>218.18955553488</v>
      </c>
      <c r="O10" s="32">
        <f>L10*M10+N10</f>
        <v>2642.51795036688</v>
      </c>
      <c r="P10" s="32"/>
      <c r="Q10" s="32"/>
      <c r="R10" s="32"/>
      <c r="S10" s="32">
        <f t="shared" si="1"/>
        <v>-2642.51795036688</v>
      </c>
      <c r="T10" s="32"/>
    </row>
    <row r="11" ht="24" customHeight="1" spans="1:20">
      <c r="A11" s="14">
        <v>6</v>
      </c>
      <c r="B11" s="22" t="s">
        <v>69</v>
      </c>
      <c r="C11" s="18"/>
      <c r="D11" s="17"/>
      <c r="E11" s="15"/>
      <c r="F11" s="11"/>
      <c r="G11" s="11"/>
      <c r="H11" s="11"/>
      <c r="I11" s="11"/>
      <c r="J11" s="24"/>
      <c r="K11" s="24"/>
      <c r="L11" s="24"/>
      <c r="M11" s="24"/>
      <c r="N11" s="37"/>
      <c r="O11" s="32">
        <f>SUM(O6:O10)</f>
        <v>81759.8218535669</v>
      </c>
      <c r="P11" s="32"/>
      <c r="Q11" s="32"/>
      <c r="R11" s="32">
        <f>SUM(R6:R10)</f>
        <v>58194.38</v>
      </c>
      <c r="S11" s="32">
        <f t="shared" si="1"/>
        <v>-23565.4418535669</v>
      </c>
      <c r="T11" s="32"/>
    </row>
    <row r="12" ht="26.1" customHeight="1" spans="1:20">
      <c r="A12" s="23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37"/>
      <c r="O12" s="32"/>
      <c r="P12" s="32"/>
      <c r="Q12" s="32"/>
      <c r="R12" s="32"/>
      <c r="S12" s="32"/>
      <c r="T12" s="24"/>
    </row>
    <row r="13" ht="26.1" customHeight="1" spans="1:20">
      <c r="A13" s="25"/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ht="26.1" customHeight="1" spans="1:20">
      <c r="A14" s="25"/>
      <c r="B14" s="26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customHeight="1" spans="1:20">
      <c r="A15" s="25"/>
      <c r="B15" s="26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customHeight="1" spans="1:20">
      <c r="A16" s="25"/>
      <c r="B16" s="26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8" customHeight="1" spans="3:3">
      <c r="C18" s="27"/>
    </row>
  </sheetData>
  <sheetProtection formatCells="0" formatColumns="0" formatRows="0" insertRows="0" insertColumns="0" insertHyperlinks="0" deleteColumns="0" deleteRows="0" sort="0" autoFilter="0" pivotTables="0"/>
  <mergeCells count="20">
    <mergeCell ref="A1:T1"/>
    <mergeCell ref="A2:T2"/>
    <mergeCell ref="F3:H3"/>
    <mergeCell ref="B10:C10"/>
    <mergeCell ref="B11:C11"/>
    <mergeCell ref="A12:N12"/>
    <mergeCell ref="A3:A5"/>
    <mergeCell ref="B3:B5"/>
    <mergeCell ref="C3:C5"/>
    <mergeCell ref="D3:D5"/>
    <mergeCell ref="E3:E4"/>
    <mergeCell ref="I3:I4"/>
    <mergeCell ref="J3:J4"/>
    <mergeCell ref="N3:N4"/>
    <mergeCell ref="O3:O4"/>
    <mergeCell ref="P3:P4"/>
    <mergeCell ref="Q3:Q4"/>
    <mergeCell ref="R3:R4"/>
    <mergeCell ref="S3:S4"/>
    <mergeCell ref="T3:T4"/>
  </mergeCells>
  <pageMargins left="0.629861111111111" right="0.236111111111111" top="0.629861111111111" bottom="0.393055555555556" header="0.511805555555556" footer="0.511805555555556"/>
  <pageSetup paperSize="9" scale="80" fitToWidth="0" fitToHeight="0" orientation="landscape" horizontalDpi="600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0 3 6 9 7 3 9 5 5 4 0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WWO_wpscloud_20250507200051-17b48c65b3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合计</vt:lpstr>
      <vt:lpstr>5号楼</vt:lpstr>
      <vt:lpstr>6号楼</vt:lpstr>
      <vt:lpstr>8号楼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 what</cp:lastModifiedBy>
  <dcterms:created xsi:type="dcterms:W3CDTF">2021-04-01T07:18:00Z</dcterms:created>
  <dcterms:modified xsi:type="dcterms:W3CDTF">2025-07-11T08:48:09Z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FCC704F256194E4B9528007D27F46570_13</vt:lpwstr>
  </property>
</Properties>
</file>